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dS Budget 2021" sheetId="1" state="visible" r:id="rId2"/>
    <sheet name="Foglio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67" authorId="0">
      <text>
        <r>
          <rPr>
            <sz val="9"/>
            <color rgb="FF000000"/>
            <rFont val="Tahoma"/>
            <family val="0"/>
            <charset val="1"/>
          </rPr>
          <t xml:space="preserve">nel bilancio di previsione 2020 previsto € 180.000
</t>
        </r>
      </text>
    </comment>
    <comment ref="A89" authorId="0">
      <text>
        <r>
          <rPr>
            <sz val="9"/>
            <color rgb="FF000000"/>
            <rFont val="Tahoma"/>
            <family val="0"/>
            <charset val="1"/>
          </rPr>
          <t xml:space="preserve">nel bilancio di previsione 2021 previsto € 180.000
</t>
        </r>
      </text>
    </comment>
  </commentList>
</comments>
</file>

<file path=xl/sharedStrings.xml><?xml version="1.0" encoding="utf-8"?>
<sst xmlns="http://schemas.openxmlformats.org/spreadsheetml/2006/main" count="88" uniqueCount="62">
  <si>
    <r>
      <rPr>
        <sz val="11"/>
        <color rgb="FF000000"/>
        <rFont val="Calibri"/>
        <family val="2"/>
        <charset val="1"/>
      </rPr>
      <t xml:space="preserve">ANNO 2021 - PROSPETTO BUDGETTIZZAZIONE SERVIZI RESI SUL COMPRENSORIO PRATESE - SERVIZI SOCIO SANITARI E SOCIO ASSISTENZIALI DIVISI PER TIPOLOGIA DI UTENZA E AMBITO DI COMPETENZA </t>
    </r>
    <r>
      <rPr>
        <b val="true"/>
        <sz val="11"/>
        <color rgb="FF000000"/>
        <rFont val="Calibri"/>
        <family val="2"/>
        <charset val="1"/>
      </rPr>
      <t xml:space="preserve">-                                          All. "A" Delibera Assemblea n. 31 del 29/09/2021</t>
    </r>
  </si>
  <si>
    <t xml:space="preserve">CANTAGALLO</t>
  </si>
  <si>
    <t xml:space="preserve">CARMIGNANO</t>
  </si>
  <si>
    <t xml:space="preserve">MONTEMURLO</t>
  </si>
  <si>
    <t xml:space="preserve">POGGIO A CAIANO</t>
  </si>
  <si>
    <t xml:space="preserve">PRATO</t>
  </si>
  <si>
    <t xml:space="preserve">VAIANO</t>
  </si>
  <si>
    <t xml:space="preserve">VERNIO</t>
  </si>
  <si>
    <t xml:space="preserve">TOTALE</t>
  </si>
  <si>
    <t xml:space="preserve">Gestione diretta RSA</t>
  </si>
  <si>
    <t xml:space="preserve">Rette anziani non autosufficienti residenziali</t>
  </si>
  <si>
    <t xml:space="preserve">quota del FNA over 65 (quote sociali)</t>
  </si>
  <si>
    <t xml:space="preserve">Rette anziani non autosuff. semiresidenziali</t>
  </si>
  <si>
    <t xml:space="preserve">quota del FNA over 65</t>
  </si>
  <si>
    <t xml:space="preserve">Compartecipazioni sullo storico</t>
  </si>
  <si>
    <t xml:space="preserve">totale AREA ANZIANI</t>
  </si>
  <si>
    <t xml:space="preserve">Rette residenziali adulti inabili</t>
  </si>
  <si>
    <t xml:space="preserve">quota del FNA under 65</t>
  </si>
  <si>
    <t xml:space="preserve">Rette centri diurni disabili</t>
  </si>
  <si>
    <t xml:space="preserve">quota del FNA under 65 </t>
  </si>
  <si>
    <t xml:space="preserve">Inserimenti socio terapeutici</t>
  </si>
  <si>
    <t xml:space="preserve">Aiuto personale </t>
  </si>
  <si>
    <t xml:space="preserve">Attività ludico motoria in acqua</t>
  </si>
  <si>
    <t xml:space="preserve">Interventi socio-educativi (Assistenza scolastica alunni disabili)</t>
  </si>
  <si>
    <t xml:space="preserve">Rette residenziali minori - Campostino e Clitumno</t>
  </si>
  <si>
    <t xml:space="preserve">VITA INDIPENDENTE (€ ……...) </t>
  </si>
  <si>
    <t xml:space="preserve">Sostegno educativo domicilare disabili - </t>
  </si>
  <si>
    <t xml:space="preserve">Compartecipazioni sullo storico </t>
  </si>
  <si>
    <t xml:space="preserve">totale AREA DISABILITA' </t>
  </si>
  <si>
    <t xml:space="preserve">quota del FNA over 65 per azioni progetto "Dopo l'ospedale meglio a casa"</t>
  </si>
  <si>
    <t xml:space="preserve">quota del FNA under 65 per progetto "In Aut"</t>
  </si>
  <si>
    <t xml:space="preserve">quota del FNA under 65 (quote sanitarie) (rette adulti inabili)</t>
  </si>
  <si>
    <t xml:space="preserve">quota del FNA under 65 (quote sanitarie) (centri diurni handicap)</t>
  </si>
  <si>
    <t xml:space="preserve">TOTALE ASL</t>
  </si>
  <si>
    <t xml:space="preserve">Assegni cura</t>
  </si>
  <si>
    <t xml:space="preserve">quota Fras (condivisa con i Comuni)</t>
  </si>
  <si>
    <t xml:space="preserve">Assistenza domiciliare</t>
  </si>
  <si>
    <t xml:space="preserve">Trasporti sociali</t>
  </si>
  <si>
    <t xml:space="preserve">provenienza ASL per trasporti ex art. 26</t>
  </si>
  <si>
    <t xml:space="preserve">totale TRASPORTI SOCIALI</t>
  </si>
  <si>
    <t xml:space="preserve">Rette residenziali minori</t>
  </si>
  <si>
    <t xml:space="preserve">QUOTA FONDO DI SOLIDAR. INTER. 2020</t>
  </si>
  <si>
    <t xml:space="preserve">Rette minori semiresidenziali</t>
  </si>
  <si>
    <t xml:space="preserve">Socializzazione per minori</t>
  </si>
  <si>
    <t xml:space="preserve">Contributi per affidamenti familiari</t>
  </si>
  <si>
    <t xml:space="preserve">sostegno educativo minori</t>
  </si>
  <si>
    <t xml:space="preserve">spazio incontro</t>
  </si>
  <si>
    <t xml:space="preserve">totale AREA MINORI</t>
  </si>
  <si>
    <t xml:space="preserve">Contributi e sussidi per povertà</t>
  </si>
  <si>
    <t xml:space="preserve">contributi una tantum (accorpati ai contributi)</t>
  </si>
  <si>
    <t xml:space="preserve">-</t>
  </si>
  <si>
    <t xml:space="preserve">Servizio Pasti a domicilio</t>
  </si>
  <si>
    <t xml:space="preserve">Interventi per la marginalità</t>
  </si>
  <si>
    <t xml:space="preserve">QUOTA FONDO DI SOLIDAR. INTER. 2021</t>
  </si>
  <si>
    <t xml:space="preserve">Povertà - quota Fras (condivisa con i Comuni) </t>
  </si>
  <si>
    <t xml:space="preserve">Fondo povertà - quota Ministeriale da Regione Toscana</t>
  </si>
  <si>
    <t xml:space="preserve">PON Avviso 4</t>
  </si>
  <si>
    <t xml:space="preserve">totale AREA MARGINALITA' </t>
  </si>
  <si>
    <t xml:space="preserve">TOTALE SDS + COMUNE PRATO</t>
  </si>
  <si>
    <t xml:space="preserve">TOTALE SDS + ASL Tosc. centro + COMUNE PO</t>
  </si>
  <si>
    <t xml:space="preserve">Fondi propri Comuni per ASL</t>
  </si>
  <si>
    <t xml:space="preserve">Fondi propri Comuni per SDS e Comune Prato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</si>
</sst>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€ &quot;* #,##0.00_-;&quot;-€ &quot;* #,##0.00_-;_-&quot;€ &quot;* \-??_-;_-@_-"/>
    <numFmt numFmtId="166" formatCode="&quot;€ &quot;#,##0.00;[RED]&quot;-€ 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0000FF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9"/>
      <color rgb="FF000000"/>
      <name val="Tahoma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7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1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1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9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9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1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40.28"/>
    <col collapsed="false" customWidth="true" hidden="false" outlineLevel="0" max="8" min="2" style="1" width="18.71"/>
    <col collapsed="false" customWidth="true" hidden="false" outlineLevel="0" max="9" min="9" style="2" width="18.71"/>
    <col collapsed="false" customWidth="true" hidden="false" outlineLevel="0" max="10" min="10" style="2" width="15.88"/>
    <col collapsed="false" customWidth="true" hidden="false" outlineLevel="0" max="11" min="11" style="0" width="18.29"/>
    <col collapsed="false" customWidth="true" hidden="false" outlineLevel="0" max="12" min="12" style="0" width="9.85"/>
    <col collapsed="false" customWidth="true" hidden="false" outlineLevel="0" max="13" min="13" style="0" width="8.14"/>
  </cols>
  <sheetData>
    <row r="1" customFormat="false" ht="33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4" customFormat="true" ht="15" hidden="false" customHeight="false" outlineLevel="0" collapsed="false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/>
    </row>
    <row r="3" customFormat="false" ht="19.5" hidden="false" customHeight="true" outlineLevel="0" collapsed="false">
      <c r="A3" s="7" t="s">
        <v>9</v>
      </c>
      <c r="B3" s="8" t="n">
        <v>0</v>
      </c>
      <c r="C3" s="8" t="n">
        <v>3000</v>
      </c>
      <c r="D3" s="8" t="n">
        <v>4000</v>
      </c>
      <c r="E3" s="8" t="n">
        <v>2000</v>
      </c>
      <c r="F3" s="8" t="n">
        <v>41000</v>
      </c>
      <c r="G3" s="8" t="n">
        <v>0</v>
      </c>
      <c r="H3" s="8" t="n">
        <v>0</v>
      </c>
      <c r="I3" s="9" t="n">
        <f aca="false">SUM(B3:H3)</f>
        <v>50000</v>
      </c>
    </row>
    <row r="4" customFormat="false" ht="6.75" hidden="false" customHeight="true" outlineLevel="0" collapsed="false">
      <c r="A4" s="7"/>
      <c r="B4" s="10"/>
      <c r="C4" s="10"/>
      <c r="D4" s="10"/>
      <c r="E4" s="10"/>
      <c r="F4" s="10"/>
      <c r="G4" s="10"/>
      <c r="H4" s="10"/>
      <c r="I4" s="11" t="n">
        <f aca="false">SUM(B4:H4)</f>
        <v>0</v>
      </c>
    </row>
    <row r="5" customFormat="false" ht="17.25" hidden="false" customHeight="true" outlineLevel="0" collapsed="false">
      <c r="A5" s="7" t="s">
        <v>10</v>
      </c>
      <c r="B5" s="8" t="n">
        <v>28000</v>
      </c>
      <c r="C5" s="8" t="n">
        <v>104000</v>
      </c>
      <c r="D5" s="8" t="n">
        <v>64000</v>
      </c>
      <c r="E5" s="8" t="n">
        <v>120000</v>
      </c>
      <c r="F5" s="8" t="n">
        <v>2380000</v>
      </c>
      <c r="G5" s="8" t="n">
        <v>100000</v>
      </c>
      <c r="H5" s="8" t="n">
        <v>64000</v>
      </c>
      <c r="I5" s="9" t="n">
        <f aca="false">SUM(B5:H5)</f>
        <v>2860000</v>
      </c>
    </row>
    <row r="6" customFormat="false" ht="16.5" hidden="false" customHeight="true" outlineLevel="0" collapsed="false">
      <c r="A6" s="7" t="s">
        <v>11</v>
      </c>
      <c r="B6" s="12" t="n">
        <f aca="false">12505.62+759.08</f>
        <v>13264.7</v>
      </c>
      <c r="C6" s="12" t="n">
        <f aca="false">69414.78+4213.44</f>
        <v>73628.22</v>
      </c>
      <c r="D6" s="12" t="n">
        <f aca="false">39563.98+2401.51</f>
        <v>41965.49</v>
      </c>
      <c r="E6" s="12" t="n">
        <f aca="false">21208.02+1287.31</f>
        <v>22495.33</v>
      </c>
      <c r="F6" s="12" t="n">
        <f aca="false">519776.31+31550.14</f>
        <v>551326.45</v>
      </c>
      <c r="G6" s="12" t="n">
        <f aca="false">20210.93+1226.79</f>
        <v>21437.72</v>
      </c>
      <c r="H6" s="12" t="n">
        <f aca="false">24686.24+1498.44</f>
        <v>26184.68</v>
      </c>
      <c r="I6" s="13" t="n">
        <f aca="false">SUM(B6:H6)</f>
        <v>750302.59</v>
      </c>
    </row>
    <row r="7" customFormat="false" ht="6" hidden="false" customHeight="true" outlineLevel="0" collapsed="false">
      <c r="A7" s="7"/>
      <c r="B7" s="10"/>
      <c r="C7" s="10"/>
      <c r="D7" s="10"/>
      <c r="E7" s="10"/>
      <c r="F7" s="10"/>
      <c r="G7" s="10"/>
      <c r="H7" s="10"/>
      <c r="I7" s="11"/>
    </row>
    <row r="8" customFormat="false" ht="13.8" hidden="false" customHeight="false" outlineLevel="0" collapsed="false">
      <c r="A8" s="7" t="s">
        <v>12</v>
      </c>
      <c r="B8" s="8" t="n">
        <v>0</v>
      </c>
      <c r="C8" s="8" t="n">
        <v>5000</v>
      </c>
      <c r="D8" s="8" t="n">
        <v>40000</v>
      </c>
      <c r="E8" s="8" t="n">
        <v>4000</v>
      </c>
      <c r="F8" s="8" t="n">
        <v>70000</v>
      </c>
      <c r="G8" s="8" t="n">
        <v>9000</v>
      </c>
      <c r="H8" s="8" t="n">
        <v>0</v>
      </c>
      <c r="I8" s="9" t="n">
        <f aca="false">SUM(B8:H8)</f>
        <v>128000</v>
      </c>
    </row>
    <row r="9" customFormat="false" ht="13.8" hidden="false" customHeight="false" outlineLevel="0" collapsed="false">
      <c r="A9" s="7" t="s">
        <v>13</v>
      </c>
      <c r="B9" s="12" t="n">
        <v>0</v>
      </c>
      <c r="C9" s="12" t="n">
        <f aca="false">2152.33+130.65</f>
        <v>2282.98</v>
      </c>
      <c r="D9" s="12" t="n">
        <f aca="false">20992.12+1274.21</f>
        <v>22266.33</v>
      </c>
      <c r="E9" s="12" t="n">
        <f aca="false">13919.22+844.89</f>
        <v>14764.11</v>
      </c>
      <c r="F9" s="12" t="n">
        <f aca="false">316651.38+19220.55</f>
        <v>335871.93</v>
      </c>
      <c r="G9" s="12" t="n">
        <v>0</v>
      </c>
      <c r="H9" s="12" t="n">
        <v>0</v>
      </c>
      <c r="I9" s="13" t="n">
        <f aca="false">SUM(B9:H9)</f>
        <v>375185.35</v>
      </c>
      <c r="M9" s="14"/>
    </row>
    <row r="10" customFormat="false" ht="7.5" hidden="false" customHeight="true" outlineLevel="0" collapsed="false">
      <c r="A10" s="7"/>
      <c r="B10" s="10"/>
      <c r="C10" s="10"/>
      <c r="D10" s="10"/>
      <c r="E10" s="10"/>
      <c r="F10" s="10"/>
      <c r="G10" s="10"/>
      <c r="H10" s="10"/>
      <c r="I10" s="11" t="n">
        <f aca="false">SUM(B10:H10)</f>
        <v>0</v>
      </c>
    </row>
    <row r="11" customFormat="false" ht="13.8" hidden="false" customHeight="false" outlineLevel="0" collapsed="false">
      <c r="A11" s="15" t="s">
        <v>14</v>
      </c>
      <c r="B11" s="16"/>
      <c r="C11" s="16" t="n">
        <v>0</v>
      </c>
      <c r="D11" s="16" t="n">
        <v>365</v>
      </c>
      <c r="E11" s="16" t="n">
        <v>1512</v>
      </c>
      <c r="F11" s="16" t="n">
        <v>1679</v>
      </c>
      <c r="G11" s="16"/>
      <c r="H11" s="16"/>
      <c r="I11" s="17" t="n">
        <f aca="false">SUM(B11:H11)</f>
        <v>3556</v>
      </c>
    </row>
    <row r="12" customFormat="false" ht="13.8" hidden="false" customHeight="false" outlineLevel="0" collapsed="false">
      <c r="A12" s="18" t="s">
        <v>15</v>
      </c>
      <c r="B12" s="19" t="n">
        <f aca="false">SUM(B3:B11)</f>
        <v>41264.7</v>
      </c>
      <c r="C12" s="19" t="n">
        <f aca="false">SUM(C3:C11)</f>
        <v>187911.2</v>
      </c>
      <c r="D12" s="19" t="n">
        <f aca="false">SUM(D3:D11)</f>
        <v>172596.82</v>
      </c>
      <c r="E12" s="19" t="n">
        <f aca="false">SUM(E3:E11)</f>
        <v>164771.44</v>
      </c>
      <c r="F12" s="19" t="n">
        <f aca="false">SUM(F3:F11)</f>
        <v>3379877.38</v>
      </c>
      <c r="G12" s="19" t="n">
        <f aca="false">SUM(G3:G11)</f>
        <v>130437.72</v>
      </c>
      <c r="H12" s="19" t="n">
        <f aca="false">SUM(H3:H11)</f>
        <v>90184.68</v>
      </c>
      <c r="I12" s="19" t="n">
        <f aca="false">SUM(B12:H12)</f>
        <v>4167043.94</v>
      </c>
    </row>
    <row r="13" customFormat="false" ht="6" hidden="false" customHeight="true" outlineLevel="0" collapsed="false">
      <c r="A13" s="7"/>
      <c r="B13" s="10"/>
      <c r="C13" s="10"/>
      <c r="D13" s="10"/>
      <c r="E13" s="10"/>
      <c r="F13" s="10"/>
      <c r="G13" s="10"/>
      <c r="H13" s="10"/>
      <c r="I13" s="11"/>
    </row>
    <row r="14" customFormat="false" ht="17.25" hidden="false" customHeight="true" outlineLevel="0" collapsed="false">
      <c r="A14" s="7" t="s">
        <v>16</v>
      </c>
      <c r="B14" s="8" t="n">
        <v>28000</v>
      </c>
      <c r="C14" s="8" t="n">
        <v>54000</v>
      </c>
      <c r="D14" s="8" t="n">
        <v>100000</v>
      </c>
      <c r="E14" s="8" t="n">
        <v>37000</v>
      </c>
      <c r="F14" s="8" t="n">
        <v>950000</v>
      </c>
      <c r="G14" s="8" t="n">
        <v>78000</v>
      </c>
      <c r="H14" s="8" t="n">
        <v>34000</v>
      </c>
      <c r="I14" s="9" t="n">
        <f aca="false">SUM(B14:H14)</f>
        <v>1281000</v>
      </c>
    </row>
    <row r="15" customFormat="false" ht="18" hidden="false" customHeight="true" outlineLevel="0" collapsed="false">
      <c r="A15" s="7" t="s">
        <v>17</v>
      </c>
      <c r="B15" s="12" t="n">
        <f aca="false">1527.6+146.53</f>
        <v>1674.13</v>
      </c>
      <c r="C15" s="12" t="n">
        <f aca="false">1716.19+164.62</f>
        <v>1880.81</v>
      </c>
      <c r="D15" s="12" t="n">
        <f aca="false">1670.83+160.27</f>
        <v>1831.1</v>
      </c>
      <c r="E15" s="12" t="n">
        <f aca="false">2010.9+192.88</f>
        <v>2203.78</v>
      </c>
      <c r="F15" s="12" t="n">
        <f aca="false">24418.96+2342.27</f>
        <v>26761.23</v>
      </c>
      <c r="G15" s="12" t="n">
        <f aca="false">1692.59+162.35</f>
        <v>1854.94</v>
      </c>
      <c r="H15" s="12" t="n">
        <f aca="false">1330.67+127.64</f>
        <v>1458.31</v>
      </c>
      <c r="I15" s="13" t="n">
        <f aca="false">SUM(B15:H15)</f>
        <v>37664.3</v>
      </c>
    </row>
    <row r="16" customFormat="false" ht="14.25" hidden="false" customHeight="true" outlineLevel="0" collapsed="false">
      <c r="A16" s="15" t="s">
        <v>14</v>
      </c>
      <c r="B16" s="16"/>
      <c r="C16" s="16"/>
      <c r="D16" s="16"/>
      <c r="E16" s="16"/>
      <c r="F16" s="16"/>
      <c r="G16" s="16"/>
      <c r="H16" s="16"/>
      <c r="I16" s="17" t="n">
        <f aca="false">SUM(B16:H16)</f>
        <v>0</v>
      </c>
    </row>
    <row r="17" customFormat="false" ht="13.5" hidden="false" customHeight="true" outlineLevel="0" collapsed="false">
      <c r="A17" s="7"/>
      <c r="B17" s="10"/>
      <c r="C17" s="10"/>
      <c r="D17" s="10"/>
      <c r="E17" s="10"/>
      <c r="F17" s="10"/>
      <c r="G17" s="10"/>
      <c r="H17" s="10"/>
      <c r="I17" s="11" t="n">
        <f aca="false">SUM(B17:H17)</f>
        <v>0</v>
      </c>
    </row>
    <row r="18" customFormat="false" ht="13.8" hidden="false" customHeight="false" outlineLevel="0" collapsed="false">
      <c r="A18" s="7" t="s">
        <v>18</v>
      </c>
      <c r="B18" s="8" t="n">
        <v>40000</v>
      </c>
      <c r="C18" s="8" t="n">
        <v>121000</v>
      </c>
      <c r="D18" s="8" t="n">
        <v>222100</v>
      </c>
      <c r="E18" s="8" t="n">
        <v>105000</v>
      </c>
      <c r="F18" s="8" t="n">
        <v>1205000</v>
      </c>
      <c r="G18" s="8" t="n">
        <v>117000</v>
      </c>
      <c r="H18" s="8" t="n">
        <v>36000</v>
      </c>
      <c r="I18" s="9" t="n">
        <f aca="false">SUM(B18:H18)</f>
        <v>1846100</v>
      </c>
    </row>
    <row r="19" customFormat="false" ht="13.8" hidden="false" customHeight="false" outlineLevel="0" collapsed="false">
      <c r="A19" s="7" t="s">
        <v>19</v>
      </c>
      <c r="B19" s="12" t="n">
        <f aca="false">1777.78+170.52</f>
        <v>1948.3</v>
      </c>
      <c r="C19" s="12" t="n">
        <f aca="false">4307.41+413.17</f>
        <v>4720.58</v>
      </c>
      <c r="D19" s="12" t="n">
        <f aca="false">9345.68+896.44</f>
        <v>10242.12</v>
      </c>
      <c r="E19" s="12" t="n">
        <f aca="false">5260.78+504.62</f>
        <v>5765.4</v>
      </c>
      <c r="F19" s="12" t="n">
        <f aca="false">55056.48+5281.03</f>
        <v>60337.51</v>
      </c>
      <c r="G19" s="12" t="n">
        <f aca="false">5705.55+547.28</f>
        <v>6252.83</v>
      </c>
      <c r="H19" s="12" t="n">
        <f aca="false">2172.62+208.4</f>
        <v>2381.02</v>
      </c>
      <c r="I19" s="13" t="n">
        <f aca="false">SUM(B19:H19)</f>
        <v>91647.76</v>
      </c>
    </row>
    <row r="20" customFormat="false" ht="6.75" hidden="false" customHeight="true" outlineLevel="0" collapsed="false">
      <c r="A20" s="7"/>
      <c r="B20" s="10"/>
      <c r="C20" s="10"/>
      <c r="D20" s="10"/>
      <c r="E20" s="10"/>
      <c r="F20" s="10"/>
      <c r="G20" s="10"/>
      <c r="H20" s="10"/>
      <c r="I20" s="11" t="n">
        <f aca="false">SUM(B20:H20)</f>
        <v>0</v>
      </c>
    </row>
    <row r="21" customFormat="false" ht="13.8" hidden="false" customHeight="false" outlineLevel="0" collapsed="false">
      <c r="A21" s="7" t="s">
        <v>20</v>
      </c>
      <c r="B21" s="8" t="n">
        <v>3000</v>
      </c>
      <c r="C21" s="8" t="n">
        <v>17000</v>
      </c>
      <c r="D21" s="8" t="n">
        <v>23000</v>
      </c>
      <c r="E21" s="8" t="n">
        <v>3000</v>
      </c>
      <c r="F21" s="8" t="n">
        <v>244000</v>
      </c>
      <c r="G21" s="8" t="n">
        <v>18000</v>
      </c>
      <c r="H21" s="8" t="n">
        <v>15000</v>
      </c>
      <c r="I21" s="9" t="n">
        <f aca="false">SUM(B21:H21)</f>
        <v>323000</v>
      </c>
    </row>
    <row r="22" customFormat="false" ht="8.95" hidden="false" customHeight="true" outlineLevel="0" collapsed="false">
      <c r="A22" s="20"/>
      <c r="B22" s="10"/>
      <c r="C22" s="10"/>
      <c r="D22" s="10"/>
      <c r="E22" s="10"/>
      <c r="F22" s="10"/>
      <c r="G22" s="10"/>
      <c r="H22" s="10"/>
      <c r="I22" s="11" t="n">
        <f aca="false">SUM(B22:H22)</f>
        <v>0</v>
      </c>
    </row>
    <row r="23" customFormat="false" ht="20.25" hidden="false" customHeight="true" outlineLevel="0" collapsed="false">
      <c r="A23" s="21" t="s">
        <v>21</v>
      </c>
      <c r="B23" s="8" t="n">
        <v>0</v>
      </c>
      <c r="C23" s="8" t="n">
        <v>6000</v>
      </c>
      <c r="D23" s="8" t="n">
        <v>0</v>
      </c>
      <c r="E23" s="8" t="n">
        <v>0</v>
      </c>
      <c r="F23" s="8" t="n">
        <v>18000</v>
      </c>
      <c r="G23" s="8" t="n">
        <v>0</v>
      </c>
      <c r="H23" s="8" t="n">
        <v>0</v>
      </c>
      <c r="I23" s="9" t="n">
        <f aca="false">SUM(B23:H23)</f>
        <v>24000</v>
      </c>
    </row>
    <row r="24" customFormat="false" ht="11.9" hidden="false" customHeight="true" outlineLevel="0" collapsed="false">
      <c r="A24" s="7"/>
      <c r="B24" s="10"/>
      <c r="C24" s="10"/>
      <c r="D24" s="10"/>
      <c r="E24" s="10"/>
      <c r="F24" s="10"/>
      <c r="G24" s="10"/>
      <c r="H24" s="10"/>
      <c r="I24" s="11" t="n">
        <f aca="false">SUM(B24:H24)</f>
        <v>0</v>
      </c>
    </row>
    <row r="25" customFormat="false" ht="13.8" hidden="false" customHeight="false" outlineLevel="0" collapsed="false">
      <c r="A25" s="7" t="s">
        <v>22</v>
      </c>
      <c r="B25" s="8" t="n">
        <v>2000</v>
      </c>
      <c r="C25" s="8" t="n">
        <v>2500</v>
      </c>
      <c r="D25" s="8" t="n">
        <v>2500</v>
      </c>
      <c r="E25" s="8" t="n">
        <v>3000</v>
      </c>
      <c r="F25" s="8" t="n">
        <v>42000</v>
      </c>
      <c r="G25" s="8" t="n">
        <v>3000</v>
      </c>
      <c r="H25" s="8" t="n">
        <v>2000</v>
      </c>
      <c r="I25" s="9" t="n">
        <f aca="false">SUM(B25:H25)</f>
        <v>57000</v>
      </c>
    </row>
    <row r="26" customFormat="false" ht="13.8" hidden="false" customHeight="false" outlineLevel="0" collapsed="false">
      <c r="A26" s="7" t="s">
        <v>17</v>
      </c>
      <c r="B26" s="12" t="n">
        <f aca="false">526.88+50.54</f>
        <v>577.42</v>
      </c>
      <c r="C26" s="12" t="n">
        <f aca="false">1984.05+190.31</f>
        <v>2174.36</v>
      </c>
      <c r="D26" s="12" t="n">
        <f aca="false">3346.85+321.03</f>
        <v>3667.88</v>
      </c>
      <c r="E26" s="12" t="n">
        <f aca="false">707.33+67.85</f>
        <v>775.18</v>
      </c>
      <c r="F26" s="12" t="n">
        <f aca="false">30895.38+2963.49</f>
        <v>33858.87</v>
      </c>
      <c r="G26" s="12" t="n">
        <f aca="false">2287.94+219.46</f>
        <v>2507.4</v>
      </c>
      <c r="H26" s="12" t="n">
        <f aca="false">853.23+81.84</f>
        <v>935.07</v>
      </c>
      <c r="I26" s="13" t="n">
        <f aca="false">SUM(B26:H26)</f>
        <v>44496.18</v>
      </c>
    </row>
    <row r="27" customFormat="false" ht="11.9" hidden="false" customHeight="true" outlineLevel="0" collapsed="false">
      <c r="A27" s="7"/>
      <c r="B27" s="10"/>
      <c r="C27" s="10"/>
      <c r="D27" s="10"/>
      <c r="E27" s="10"/>
      <c r="F27" s="10"/>
      <c r="G27" s="10"/>
      <c r="H27" s="10"/>
      <c r="I27" s="11" t="n">
        <f aca="false">SUM(B27:H27)</f>
        <v>0</v>
      </c>
    </row>
    <row r="28" customFormat="false" ht="23.85" hidden="false" customHeight="false" outlineLevel="0" collapsed="false">
      <c r="A28" s="22" t="s">
        <v>23</v>
      </c>
      <c r="B28" s="8" t="n">
        <v>0</v>
      </c>
      <c r="C28" s="8" t="n">
        <v>52000</v>
      </c>
      <c r="D28" s="8" t="n">
        <v>22100</v>
      </c>
      <c r="E28" s="8" t="n">
        <v>0</v>
      </c>
      <c r="F28" s="8" t="n">
        <v>0</v>
      </c>
      <c r="G28" s="8" t="n">
        <v>25000</v>
      </c>
      <c r="H28" s="8" t="n">
        <v>0</v>
      </c>
      <c r="I28" s="9" t="n">
        <f aca="false">SUM(B28:H28)</f>
        <v>99100</v>
      </c>
    </row>
    <row r="29" customFormat="false" ht="11.9" hidden="false" customHeight="true" outlineLevel="0" collapsed="false">
      <c r="A29" s="7"/>
      <c r="B29" s="10"/>
      <c r="C29" s="10"/>
      <c r="D29" s="10"/>
      <c r="E29" s="10"/>
      <c r="F29" s="10"/>
      <c r="G29" s="10"/>
      <c r="H29" s="10"/>
      <c r="I29" s="11" t="n">
        <f aca="false">SUM(B29:H29)</f>
        <v>0</v>
      </c>
    </row>
    <row r="30" customFormat="false" ht="30" hidden="false" customHeight="true" outlineLevel="0" collapsed="false">
      <c r="A30" s="22" t="s">
        <v>24</v>
      </c>
      <c r="B30" s="8" t="n">
        <v>0</v>
      </c>
      <c r="C30" s="8" t="n">
        <v>0</v>
      </c>
      <c r="D30" s="8" t="n">
        <v>20000</v>
      </c>
      <c r="E30" s="8" t="n">
        <v>0</v>
      </c>
      <c r="F30" s="8" t="n">
        <f aca="false">390000+28000</f>
        <v>418000</v>
      </c>
      <c r="G30" s="8" t="n">
        <v>20000</v>
      </c>
      <c r="H30" s="8" t="n">
        <v>0</v>
      </c>
      <c r="I30" s="9" t="n">
        <f aca="false">SUM(B30:H30)</f>
        <v>458000</v>
      </c>
      <c r="L30" s="14"/>
    </row>
    <row r="31" customFormat="false" ht="8.2" hidden="false" customHeight="true" outlineLevel="0" collapsed="false">
      <c r="A31" s="22"/>
      <c r="B31" s="10"/>
      <c r="C31" s="10"/>
      <c r="D31" s="10"/>
      <c r="E31" s="10"/>
      <c r="F31" s="10"/>
      <c r="G31" s="10"/>
      <c r="H31" s="10"/>
      <c r="I31" s="11" t="n">
        <f aca="false">SUM(B31:H31)</f>
        <v>0</v>
      </c>
    </row>
    <row r="32" customFormat="false" ht="19.5" hidden="false" customHeight="true" outlineLevel="0" collapsed="false">
      <c r="A32" s="22" t="s">
        <v>25</v>
      </c>
      <c r="B32" s="10"/>
      <c r="C32" s="10"/>
      <c r="D32" s="10"/>
      <c r="E32" s="10"/>
      <c r="F32" s="10"/>
      <c r="G32" s="10"/>
      <c r="H32" s="10"/>
      <c r="I32" s="11"/>
    </row>
    <row r="33" customFormat="false" ht="11.15" hidden="false" customHeight="true" outlineLevel="0" collapsed="false">
      <c r="A33" s="22"/>
      <c r="B33" s="10"/>
      <c r="C33" s="10"/>
      <c r="D33" s="10"/>
      <c r="E33" s="10"/>
      <c r="F33" s="10"/>
      <c r="G33" s="10"/>
      <c r="H33" s="10"/>
      <c r="I33" s="11" t="n">
        <f aca="false">SUM(B33:H33)</f>
        <v>0</v>
      </c>
    </row>
    <row r="34" customFormat="false" ht="27.75" hidden="false" customHeight="true" outlineLevel="0" collapsed="false">
      <c r="A34" s="22" t="s">
        <v>26</v>
      </c>
      <c r="B34" s="8" t="n">
        <v>0</v>
      </c>
      <c r="C34" s="8" t="n">
        <v>4000</v>
      </c>
      <c r="D34" s="8" t="n">
        <v>0</v>
      </c>
      <c r="E34" s="8" t="n">
        <v>0</v>
      </c>
      <c r="F34" s="8" t="n">
        <v>5000</v>
      </c>
      <c r="G34" s="8" t="n">
        <v>2000</v>
      </c>
      <c r="H34" s="8" t="n">
        <v>0</v>
      </c>
      <c r="I34" s="9" t="n">
        <f aca="false">SUM(B34:H34)</f>
        <v>11000</v>
      </c>
    </row>
    <row r="35" customFormat="false" ht="17.25" hidden="false" customHeight="true" outlineLevel="0" collapsed="false">
      <c r="A35" s="7" t="s">
        <v>19</v>
      </c>
      <c r="B35" s="12" t="n">
        <v>0</v>
      </c>
      <c r="C35" s="12" t="n">
        <v>0</v>
      </c>
      <c r="D35" s="12" t="n">
        <f aca="false">3444.52+330.4</f>
        <v>3774.92</v>
      </c>
      <c r="E35" s="12" t="n">
        <v>0</v>
      </c>
      <c r="F35" s="12" t="n">
        <f aca="false">62001.26+5947.18</f>
        <v>67948.44</v>
      </c>
      <c r="G35" s="12" t="n">
        <v>0</v>
      </c>
      <c r="H35" s="12" t="n">
        <v>0</v>
      </c>
      <c r="I35" s="13" t="n">
        <f aca="false">SUM(B35:H35)</f>
        <v>71723.36</v>
      </c>
    </row>
    <row r="36" customFormat="false" ht="9.75" hidden="false" customHeight="true" outlineLevel="0" collapsed="false">
      <c r="A36" s="22"/>
      <c r="B36" s="10"/>
      <c r="C36" s="10"/>
      <c r="D36" s="10"/>
      <c r="E36" s="10"/>
      <c r="F36" s="10"/>
      <c r="G36" s="10"/>
      <c r="H36" s="10"/>
      <c r="I36" s="11" t="n">
        <f aca="false">SUM(B36:H36)</f>
        <v>0</v>
      </c>
    </row>
    <row r="37" customFormat="false" ht="17.25" hidden="false" customHeight="true" outlineLevel="0" collapsed="false">
      <c r="A37" s="7" t="s">
        <v>27</v>
      </c>
      <c r="B37" s="10" t="n">
        <v>0</v>
      </c>
      <c r="C37" s="10" t="n">
        <v>0</v>
      </c>
      <c r="D37" s="10" t="n">
        <v>0</v>
      </c>
      <c r="E37" s="10" t="n">
        <v>0</v>
      </c>
      <c r="F37" s="10" t="n">
        <v>0</v>
      </c>
      <c r="G37" s="10" t="n">
        <v>0</v>
      </c>
      <c r="H37" s="10" t="n">
        <v>0</v>
      </c>
      <c r="I37" s="11" t="n">
        <f aca="false">SUM(B37:H37)</f>
        <v>0</v>
      </c>
    </row>
    <row r="38" customFormat="false" ht="10.5" hidden="false" customHeight="true" outlineLevel="0" collapsed="false">
      <c r="A38" s="7"/>
      <c r="B38" s="10"/>
      <c r="C38" s="10"/>
      <c r="D38" s="10"/>
      <c r="E38" s="10"/>
      <c r="F38" s="10"/>
      <c r="G38" s="10"/>
      <c r="H38" s="10"/>
      <c r="I38" s="11" t="n">
        <f aca="false">SUM(B38:H38)</f>
        <v>0</v>
      </c>
    </row>
    <row r="39" customFormat="false" ht="20.1" hidden="false" customHeight="true" outlineLevel="0" collapsed="false">
      <c r="A39" s="18" t="s">
        <v>28</v>
      </c>
      <c r="B39" s="19" t="n">
        <f aca="false">SUM(B14:B38)</f>
        <v>77199.85</v>
      </c>
      <c r="C39" s="19" t="n">
        <f aca="false">SUM(C14:C38)</f>
        <v>265275.75</v>
      </c>
      <c r="D39" s="19" t="n">
        <f aca="false">SUM(D14:D38)</f>
        <v>409216.02</v>
      </c>
      <c r="E39" s="19" t="n">
        <f aca="false">SUM(E14:E38)</f>
        <v>156744.36</v>
      </c>
      <c r="F39" s="19" t="n">
        <f aca="false">SUM(F14:F38)</f>
        <v>3070906.05</v>
      </c>
      <c r="G39" s="19" t="n">
        <f aca="false">SUM(G14:G38)</f>
        <v>273615.17</v>
      </c>
      <c r="H39" s="19" t="n">
        <f aca="false">SUM(H14:H38)</f>
        <v>91774.4</v>
      </c>
      <c r="I39" s="23" t="n">
        <f aca="false">SUM(B39:H39)</f>
        <v>4344731.6</v>
      </c>
    </row>
    <row r="40" customFormat="false" ht="31.3" hidden="false" customHeight="true" outlineLevel="0" collapsed="false">
      <c r="A40" s="24" t="s">
        <v>29</v>
      </c>
      <c r="B40" s="19"/>
      <c r="C40" s="19"/>
      <c r="D40" s="19"/>
      <c r="E40" s="19"/>
      <c r="F40" s="19"/>
      <c r="G40" s="19"/>
      <c r="H40" s="19"/>
      <c r="I40" s="25" t="n">
        <v>20000</v>
      </c>
    </row>
    <row r="41" customFormat="false" ht="24.6" hidden="false" customHeight="true" outlineLevel="0" collapsed="false">
      <c r="A41" s="24" t="s">
        <v>30</v>
      </c>
      <c r="B41" s="19"/>
      <c r="C41" s="19"/>
      <c r="D41" s="19"/>
      <c r="E41" s="19"/>
      <c r="F41" s="19"/>
      <c r="G41" s="19"/>
      <c r="H41" s="19"/>
      <c r="I41" s="25"/>
    </row>
    <row r="42" customFormat="false" ht="28.35" hidden="false" customHeight="true" outlineLevel="0" collapsed="false">
      <c r="A42" s="26" t="s">
        <v>31</v>
      </c>
      <c r="B42" s="27" t="n">
        <v>1683.04</v>
      </c>
      <c r="C42" s="27" t="n">
        <v>1890.82</v>
      </c>
      <c r="D42" s="27" t="n">
        <v>1840.83</v>
      </c>
      <c r="E42" s="27" t="n">
        <v>2215.51</v>
      </c>
      <c r="F42" s="27" t="n">
        <v>26903.6</v>
      </c>
      <c r="G42" s="27" t="n">
        <v>1864.82</v>
      </c>
      <c r="H42" s="27" t="n">
        <v>1466.06</v>
      </c>
      <c r="I42" s="28" t="n">
        <f aca="false">SUM(B42:H42)</f>
        <v>37864.68</v>
      </c>
    </row>
    <row r="43" customFormat="false" ht="27.6" hidden="false" customHeight="true" outlineLevel="0" collapsed="false">
      <c r="A43" s="26" t="s">
        <v>32</v>
      </c>
      <c r="B43" s="27" t="n">
        <v>1958.67</v>
      </c>
      <c r="C43" s="27" t="n">
        <v>4745.69</v>
      </c>
      <c r="D43" s="27" t="n">
        <v>10296.61</v>
      </c>
      <c r="E43" s="27" t="n">
        <v>5796.07</v>
      </c>
      <c r="F43" s="27" t="n">
        <v>60658.51</v>
      </c>
      <c r="G43" s="27" t="n">
        <v>6286.09</v>
      </c>
      <c r="H43" s="27" t="n">
        <v>2393.68</v>
      </c>
      <c r="I43" s="28" t="n">
        <f aca="false">SUM(B43:H43)</f>
        <v>92135.32</v>
      </c>
    </row>
    <row r="44" s="4" customFormat="true" ht="20.1" hidden="false" customHeight="true" outlineLevel="0" collapsed="false">
      <c r="A44" s="29" t="s">
        <v>33</v>
      </c>
      <c r="B44" s="30" t="n">
        <f aca="false">B12+B39+B40+B42+B43</f>
        <v>122106.26</v>
      </c>
      <c r="C44" s="30" t="n">
        <f aca="false">C12+C39+C40+C42+C43</f>
        <v>459823.46</v>
      </c>
      <c r="D44" s="30" t="n">
        <f aca="false">D12+D39+D40+D42+D43</f>
        <v>593950.28</v>
      </c>
      <c r="E44" s="30" t="n">
        <f aca="false">E12+E39+E40+E42+E43</f>
        <v>329527.38</v>
      </c>
      <c r="F44" s="30" t="n">
        <f aca="false">F12+F39+F40+F42+F43</f>
        <v>6538345.54</v>
      </c>
      <c r="G44" s="30" t="n">
        <f aca="false">G12+G39+G40+G42+G43</f>
        <v>412203.8</v>
      </c>
      <c r="H44" s="30" t="n">
        <f aca="false">H12+H39+H40+H42+H43</f>
        <v>185818.82</v>
      </c>
      <c r="I44" s="30" t="n">
        <f aca="false">I12+I39+I40+I41+I42+I43</f>
        <v>8661775.54</v>
      </c>
      <c r="J44" s="6"/>
    </row>
    <row r="45" s="4" customFormat="true" ht="9" hidden="false" customHeight="true" outlineLevel="0" collapsed="false">
      <c r="A45" s="31"/>
      <c r="B45" s="31"/>
      <c r="C45" s="31"/>
      <c r="D45" s="31"/>
      <c r="E45" s="31"/>
      <c r="F45" s="31"/>
      <c r="G45" s="31"/>
      <c r="H45" s="31"/>
      <c r="I45" s="31"/>
      <c r="J45" s="6"/>
    </row>
    <row r="46" s="4" customFormat="true" ht="15" hidden="true" customHeight="false" outlineLevel="0" collapsed="false">
      <c r="A46" s="32"/>
      <c r="B46" s="33"/>
      <c r="C46" s="33"/>
      <c r="D46" s="33"/>
      <c r="E46" s="33"/>
      <c r="F46" s="33"/>
      <c r="G46" s="33"/>
      <c r="H46" s="33"/>
      <c r="I46" s="33"/>
      <c r="J46" s="6"/>
    </row>
    <row r="47" customFormat="false" ht="15" hidden="false" customHeight="false" outlineLevel="0" collapsed="false">
      <c r="B47" s="34" t="s">
        <v>1</v>
      </c>
      <c r="C47" s="34" t="s">
        <v>2</v>
      </c>
      <c r="D47" s="34" t="s">
        <v>3</v>
      </c>
      <c r="E47" s="34" t="s">
        <v>4</v>
      </c>
      <c r="F47" s="34" t="s">
        <v>5</v>
      </c>
      <c r="G47" s="34" t="s">
        <v>6</v>
      </c>
      <c r="H47" s="34" t="s">
        <v>7</v>
      </c>
      <c r="I47" s="34" t="s">
        <v>8</v>
      </c>
    </row>
    <row r="48" customFormat="false" ht="15" hidden="false" customHeight="false" outlineLevel="0" collapsed="false">
      <c r="A48" s="7" t="s">
        <v>34</v>
      </c>
      <c r="B48" s="8" t="n">
        <v>4000</v>
      </c>
      <c r="C48" s="8" t="n">
        <v>1000</v>
      </c>
      <c r="D48" s="8" t="n">
        <f aca="false">35000-23500</f>
        <v>11500</v>
      </c>
      <c r="E48" s="8" t="n">
        <v>1000</v>
      </c>
      <c r="F48" s="8" t="n">
        <v>175027</v>
      </c>
      <c r="G48" s="8" t="n">
        <v>2000</v>
      </c>
      <c r="H48" s="8" t="n">
        <v>19000</v>
      </c>
      <c r="I48" s="9" t="n">
        <f aca="false">SUM(B48:H48)</f>
        <v>213527</v>
      </c>
    </row>
    <row r="49" customFormat="false" ht="15" hidden="false" customHeight="false" outlineLevel="0" collapsed="false">
      <c r="A49" s="7" t="s">
        <v>35</v>
      </c>
      <c r="B49" s="35" t="n">
        <v>0</v>
      </c>
      <c r="C49" s="35" t="n">
        <v>0</v>
      </c>
      <c r="D49" s="35" t="n">
        <v>11560.87</v>
      </c>
      <c r="E49" s="35" t="n">
        <v>0</v>
      </c>
      <c r="F49" s="35" t="n">
        <v>0</v>
      </c>
      <c r="G49" s="35" t="n">
        <v>1592.2</v>
      </c>
      <c r="H49" s="35" t="n">
        <v>5112.25</v>
      </c>
      <c r="I49" s="36" t="n">
        <f aca="false">SUM(B49:H49)</f>
        <v>18265.32</v>
      </c>
    </row>
    <row r="50" customFormat="false" ht="15" hidden="false" customHeight="false" outlineLevel="0" collapsed="false">
      <c r="A50" s="7" t="s">
        <v>13</v>
      </c>
      <c r="B50" s="12" t="n">
        <f aca="false">3428.68+208.12</f>
        <v>3636.8</v>
      </c>
      <c r="C50" s="12" t="n">
        <f aca="false">27432.21+1665.12</f>
        <v>29097.33</v>
      </c>
      <c r="D50" s="12" t="n">
        <f aca="false">13108.7+795.69</f>
        <v>13904.39</v>
      </c>
      <c r="E50" s="12" t="n">
        <f aca="false">20080.88+1218.9</f>
        <v>21299.78</v>
      </c>
      <c r="F50" s="12" t="n">
        <f aca="false">368973+22396.45</f>
        <v>391369.45</v>
      </c>
      <c r="G50" s="12" t="n">
        <f aca="false">30180.3+1831.93</f>
        <v>32012.23</v>
      </c>
      <c r="H50" s="12" t="n">
        <f aca="false">8705.91+528.44</f>
        <v>9234.35</v>
      </c>
      <c r="I50" s="13" t="n">
        <f aca="false">SUM(B50:H50)</f>
        <v>500554.33</v>
      </c>
    </row>
    <row r="51" customFormat="false" ht="8.25" hidden="false" customHeight="true" outlineLevel="0" collapsed="false">
      <c r="A51" s="7"/>
      <c r="B51" s="10"/>
      <c r="C51" s="10"/>
      <c r="D51" s="10"/>
      <c r="E51" s="10"/>
      <c r="F51" s="10"/>
      <c r="G51" s="10"/>
      <c r="H51" s="10"/>
      <c r="I51" s="11" t="n">
        <f aca="false">SUM(B51:H51)</f>
        <v>0</v>
      </c>
    </row>
    <row r="52" customFormat="false" ht="15" hidden="false" customHeight="false" outlineLevel="0" collapsed="false">
      <c r="A52" s="7" t="s">
        <v>36</v>
      </c>
      <c r="B52" s="8" t="n">
        <f aca="false">30000-6000-3500</f>
        <v>20500</v>
      </c>
      <c r="C52" s="8" t="n">
        <v>82000</v>
      </c>
      <c r="D52" s="8" t="n">
        <v>151500</v>
      </c>
      <c r="E52" s="8" t="n">
        <f aca="false">4000-4000</f>
        <v>0</v>
      </c>
      <c r="F52" s="8" t="n">
        <v>1002395.12</v>
      </c>
      <c r="G52" s="8" t="n">
        <f aca="false">38500-10500</f>
        <v>28000</v>
      </c>
      <c r="H52" s="8" t="n">
        <v>35000</v>
      </c>
      <c r="I52" s="9" t="n">
        <f aca="false">SUM(B52:H52)</f>
        <v>1319395.12</v>
      </c>
    </row>
    <row r="53" customFormat="false" ht="15" hidden="false" customHeight="false" outlineLevel="0" collapsed="false">
      <c r="A53" s="7" t="s">
        <v>35</v>
      </c>
      <c r="B53" s="35" t="n">
        <v>5037.35</v>
      </c>
      <c r="C53" s="35" t="n">
        <v>0</v>
      </c>
      <c r="D53" s="35" t="n">
        <v>3974.27</v>
      </c>
      <c r="E53" s="35" t="n">
        <v>0</v>
      </c>
      <c r="F53" s="35" t="n">
        <v>257248.82</v>
      </c>
      <c r="G53" s="35" t="n">
        <f aca="false">24145.27+5000</f>
        <v>29145.27</v>
      </c>
      <c r="H53" s="35" t="n">
        <v>4840.57</v>
      </c>
      <c r="I53" s="36" t="n">
        <f aca="false">SUM(B53:H53)</f>
        <v>300246.28</v>
      </c>
    </row>
    <row r="54" customFormat="false" ht="15" hidden="false" customHeight="false" outlineLevel="0" collapsed="false">
      <c r="A54" s="7" t="s">
        <v>13</v>
      </c>
      <c r="B54" s="12" t="n">
        <f aca="false">14463.53+877.93</f>
        <v>15341.46</v>
      </c>
      <c r="C54" s="12" t="n">
        <f aca="false">58521.47+3552.22</f>
        <v>62073.69</v>
      </c>
      <c r="D54" s="12" t="n">
        <f aca="false">62399.28+3787.6</f>
        <v>66186.88</v>
      </c>
      <c r="E54" s="12" t="n">
        <f aca="false">77928.14+4730.2</f>
        <v>82658.34</v>
      </c>
      <c r="F54" s="12" t="n">
        <f aca="false">1240356.06+75288.91</f>
        <v>1315644.97</v>
      </c>
      <c r="G54" s="12" t="n">
        <f aca="false">54249.48+3292.91</f>
        <v>57542.39</v>
      </c>
      <c r="H54" s="12" t="n">
        <f aca="false">9430.95+572.45</f>
        <v>10003.4</v>
      </c>
      <c r="I54" s="13" t="n">
        <f aca="false">SUM(B54:H54)</f>
        <v>1609451.13</v>
      </c>
    </row>
    <row r="55" customFormat="false" ht="5.25" hidden="false" customHeight="true" outlineLevel="0" collapsed="false">
      <c r="A55" s="7"/>
      <c r="B55" s="10"/>
      <c r="C55" s="10"/>
      <c r="D55" s="10"/>
      <c r="E55" s="10"/>
      <c r="F55" s="10"/>
      <c r="G55" s="10"/>
      <c r="H55" s="10"/>
      <c r="I55" s="11"/>
    </row>
    <row r="56" customFormat="false" ht="15" hidden="false" customHeight="false" outlineLevel="0" collapsed="false">
      <c r="A56" s="15" t="s">
        <v>27</v>
      </c>
      <c r="B56" s="16" t="n">
        <v>989.58</v>
      </c>
      <c r="C56" s="16" t="n">
        <v>2548.74</v>
      </c>
      <c r="D56" s="16" t="n">
        <v>2715.36</v>
      </c>
      <c r="E56" s="16" t="n">
        <v>10992.33</v>
      </c>
      <c r="F56" s="16" t="n">
        <v>141049.06</v>
      </c>
      <c r="G56" s="16" t="n">
        <v>2723.97</v>
      </c>
      <c r="H56" s="16" t="n">
        <v>1604.45</v>
      </c>
      <c r="I56" s="17" t="n">
        <f aca="false">SUM(B56:H56)</f>
        <v>162623.49</v>
      </c>
    </row>
    <row r="57" customFormat="false" ht="6.75" hidden="false" customHeight="true" outlineLevel="0" collapsed="false">
      <c r="A57" s="22"/>
      <c r="B57" s="10"/>
      <c r="C57" s="10"/>
      <c r="D57" s="10"/>
      <c r="E57" s="10"/>
      <c r="F57" s="10"/>
      <c r="G57" s="10"/>
      <c r="H57" s="10"/>
      <c r="I57" s="11"/>
    </row>
    <row r="58" customFormat="false" ht="15" hidden="false" customHeight="false" outlineLevel="0" collapsed="false">
      <c r="A58" s="18" t="s">
        <v>15</v>
      </c>
      <c r="B58" s="19" t="n">
        <f aca="false">SUM(B48:B57)</f>
        <v>49505.19</v>
      </c>
      <c r="C58" s="19" t="n">
        <f aca="false">SUM(C48:C57)</f>
        <v>176719.76</v>
      </c>
      <c r="D58" s="19" t="n">
        <f aca="false">SUM(D48:D57)</f>
        <v>261341.77</v>
      </c>
      <c r="E58" s="19" t="n">
        <f aca="false">SUM(E48:E57)</f>
        <v>115950.45</v>
      </c>
      <c r="F58" s="19" t="n">
        <f aca="false">SUM(F48:F57)</f>
        <v>3282734.42</v>
      </c>
      <c r="G58" s="19" t="n">
        <f aca="false">SUM(G48:G57)</f>
        <v>153016.06</v>
      </c>
      <c r="H58" s="19" t="n">
        <f aca="false">SUM(H48:H57)</f>
        <v>84795.02</v>
      </c>
      <c r="I58" s="23" t="n">
        <f aca="false">SUM(I48:I57)</f>
        <v>4124062.67</v>
      </c>
    </row>
    <row r="59" customFormat="false" ht="7.5" hidden="false" customHeight="true" outlineLevel="0" collapsed="false">
      <c r="A59" s="7"/>
      <c r="B59" s="10"/>
      <c r="C59" s="10"/>
      <c r="D59" s="10"/>
      <c r="E59" s="10"/>
      <c r="F59" s="10"/>
      <c r="G59" s="10"/>
      <c r="H59" s="10"/>
      <c r="I59" s="11"/>
    </row>
    <row r="60" customFormat="false" ht="15" hidden="false" customHeight="false" outlineLevel="0" collapsed="false">
      <c r="A60" s="20" t="s">
        <v>37</v>
      </c>
      <c r="B60" s="8" t="n">
        <f aca="false">8500+3000</f>
        <v>11500</v>
      </c>
      <c r="C60" s="8" t="n">
        <f aca="false">64500-2000-4000</f>
        <v>58500</v>
      </c>
      <c r="D60" s="8" t="n">
        <f aca="false">75000+7000</f>
        <v>82000</v>
      </c>
      <c r="E60" s="8" t="n">
        <f aca="false">35000-11000</f>
        <v>24000</v>
      </c>
      <c r="F60" s="8" t="n">
        <v>611080.65</v>
      </c>
      <c r="G60" s="8" t="n">
        <f aca="false">14500+10000</f>
        <v>24500</v>
      </c>
      <c r="H60" s="8" t="n">
        <f aca="false">4000+4000</f>
        <v>8000</v>
      </c>
      <c r="I60" s="9" t="n">
        <f aca="false">SUM(B60:H60)</f>
        <v>819580.65</v>
      </c>
    </row>
    <row r="61" customFormat="false" ht="15" hidden="false" customHeight="false" outlineLevel="0" collapsed="false">
      <c r="A61" s="7" t="s">
        <v>35</v>
      </c>
      <c r="B61" s="35" t="n">
        <v>3339.33</v>
      </c>
      <c r="C61" s="35" t="n">
        <v>21131.67</v>
      </c>
      <c r="D61" s="35" t="n">
        <v>8003.68</v>
      </c>
      <c r="E61" s="35" t="n">
        <v>17000.51</v>
      </c>
      <c r="F61" s="35" t="n">
        <v>40919.35</v>
      </c>
      <c r="G61" s="35" t="n">
        <v>2310.45</v>
      </c>
      <c r="H61" s="35" t="n">
        <v>2612.77</v>
      </c>
      <c r="I61" s="36" t="n">
        <f aca="false">SUM(B61:H61)</f>
        <v>95317.76</v>
      </c>
      <c r="J61" s="14"/>
    </row>
    <row r="62" customFormat="false" ht="15" hidden="false" customHeight="false" outlineLevel="0" collapsed="false">
      <c r="A62" s="37" t="s">
        <v>38</v>
      </c>
      <c r="B62" s="10"/>
      <c r="C62" s="10"/>
      <c r="D62" s="10"/>
      <c r="E62" s="10"/>
      <c r="F62" s="38" t="n">
        <v>80000</v>
      </c>
      <c r="G62" s="10"/>
      <c r="H62" s="10"/>
      <c r="I62" s="11" t="n">
        <f aca="false">SUM(B62:H62)</f>
        <v>80000</v>
      </c>
    </row>
    <row r="63" customFormat="false" ht="15" hidden="false" customHeight="false" outlineLevel="0" collapsed="false">
      <c r="A63" s="18" t="s">
        <v>39</v>
      </c>
      <c r="B63" s="19" t="n">
        <f aca="false">SUM(B60:B62)</f>
        <v>14839.33</v>
      </c>
      <c r="C63" s="19" t="n">
        <f aca="false">SUM(C60:C62)</f>
        <v>79631.67</v>
      </c>
      <c r="D63" s="19" t="n">
        <f aca="false">SUM(D60:D62)</f>
        <v>90003.68</v>
      </c>
      <c r="E63" s="19" t="n">
        <f aca="false">SUM(E60:E62)</f>
        <v>41000.51</v>
      </c>
      <c r="F63" s="19" t="n">
        <f aca="false">SUM(F60:F62)</f>
        <v>732000</v>
      </c>
      <c r="G63" s="19" t="n">
        <f aca="false">SUM(G60:G62)</f>
        <v>26810.45</v>
      </c>
      <c r="H63" s="19" t="n">
        <f aca="false">SUM(H60:H62)</f>
        <v>10612.77</v>
      </c>
      <c r="I63" s="23" t="n">
        <f aca="false">SUM(I60:I62)</f>
        <v>994898.41</v>
      </c>
      <c r="J63" s="14"/>
    </row>
    <row r="64" customFormat="false" ht="6.75" hidden="false" customHeight="true" outlineLevel="0" collapsed="false">
      <c r="A64" s="7"/>
      <c r="B64" s="10"/>
      <c r="C64" s="10"/>
      <c r="D64" s="10"/>
      <c r="E64" s="10"/>
      <c r="F64" s="10"/>
      <c r="G64" s="10"/>
      <c r="H64" s="10"/>
      <c r="I64" s="11"/>
    </row>
    <row r="65" customFormat="false" ht="15" hidden="false" customHeight="false" outlineLevel="0" collapsed="false">
      <c r="A65" s="7" t="s">
        <v>40</v>
      </c>
      <c r="B65" s="8" t="n">
        <v>0</v>
      </c>
      <c r="C65" s="8" t="n">
        <v>96900</v>
      </c>
      <c r="D65" s="8" t="n">
        <f aca="false">100900+60000</f>
        <v>160900</v>
      </c>
      <c r="E65" s="8" t="n">
        <f aca="false">95000-1000-2500</f>
        <v>91500</v>
      </c>
      <c r="F65" s="8" t="n">
        <v>1337691</v>
      </c>
      <c r="G65" s="8" t="n">
        <v>0</v>
      </c>
      <c r="H65" s="8" t="n">
        <f aca="false">0+150</f>
        <v>150</v>
      </c>
      <c r="I65" s="9" t="n">
        <f aca="false">SUM(B65:H65)</f>
        <v>1687141</v>
      </c>
    </row>
    <row r="66" customFormat="false" ht="15" hidden="false" customHeight="false" outlineLevel="0" collapsed="false">
      <c r="A66" s="7" t="s">
        <v>35</v>
      </c>
      <c r="B66" s="35" t="n">
        <v>3165.3</v>
      </c>
      <c r="C66" s="35" t="n">
        <v>15556.34</v>
      </c>
      <c r="D66" s="35" t="n">
        <v>30688.03</v>
      </c>
      <c r="E66" s="35" t="n">
        <v>0</v>
      </c>
      <c r="F66" s="35" t="n">
        <v>322081.23</v>
      </c>
      <c r="G66" s="35" t="n">
        <v>0</v>
      </c>
      <c r="H66" s="35" t="n">
        <v>0</v>
      </c>
      <c r="I66" s="36" t="n">
        <f aca="false">SUM(B66:H66)</f>
        <v>371490.9</v>
      </c>
    </row>
    <row r="67" customFormat="false" ht="15" hidden="false" customHeight="true" outlineLevel="0" collapsed="false">
      <c r="A67" s="7" t="s">
        <v>41</v>
      </c>
      <c r="B67" s="39" t="n">
        <v>437.58</v>
      </c>
      <c r="C67" s="39" t="n">
        <v>2187.9</v>
      </c>
      <c r="D67" s="39" t="n">
        <v>3938.22</v>
      </c>
      <c r="E67" s="39" t="n">
        <v>2187.9</v>
      </c>
      <c r="F67" s="39" t="n">
        <v>59073.3</v>
      </c>
      <c r="G67" s="39" t="n">
        <v>437.58</v>
      </c>
      <c r="H67" s="39" t="n">
        <v>875.16</v>
      </c>
      <c r="I67" s="40" t="n">
        <f aca="false">SUM(B67:H67)</f>
        <v>69137.64</v>
      </c>
    </row>
    <row r="68" customFormat="false" ht="7.5" hidden="false" customHeight="true" outlineLevel="0" collapsed="false">
      <c r="A68" s="7"/>
      <c r="B68" s="10"/>
      <c r="C68" s="10"/>
      <c r="D68" s="10"/>
      <c r="E68" s="10"/>
      <c r="F68" s="10"/>
      <c r="G68" s="10"/>
      <c r="H68" s="10"/>
      <c r="I68" s="11" t="n">
        <f aca="false">SUM(B68:H68)</f>
        <v>0</v>
      </c>
    </row>
    <row r="69" customFormat="false" ht="15" hidden="false" customHeight="false" outlineLevel="0" collapsed="false">
      <c r="A69" s="7" t="s">
        <v>42</v>
      </c>
      <c r="B69" s="8" t="n">
        <v>0</v>
      </c>
      <c r="C69" s="8" t="n">
        <v>64422</v>
      </c>
      <c r="D69" s="8" t="n">
        <f aca="false">75000-14322+6000</f>
        <v>66678</v>
      </c>
      <c r="E69" s="8" t="n">
        <v>40000</v>
      </c>
      <c r="F69" s="8" t="n">
        <v>1066519.77</v>
      </c>
      <c r="G69" s="8" t="n">
        <v>0</v>
      </c>
      <c r="H69" s="8" t="n">
        <f aca="false">6000+2000</f>
        <v>8000</v>
      </c>
      <c r="I69" s="9" t="n">
        <f aca="false">SUM(B69:H69)</f>
        <v>1245619.77</v>
      </c>
    </row>
    <row r="70" customFormat="false" ht="15" hidden="false" customHeight="false" outlineLevel="0" collapsed="false">
      <c r="A70" s="7" t="s">
        <v>35</v>
      </c>
      <c r="B70" s="35" t="n">
        <v>0</v>
      </c>
      <c r="C70" s="35" t="n">
        <v>0</v>
      </c>
      <c r="D70" s="35" t="n">
        <v>2667.89</v>
      </c>
      <c r="E70" s="35" t="n">
        <v>0</v>
      </c>
      <c r="F70" s="35" t="n">
        <v>0</v>
      </c>
      <c r="G70" s="35" t="n">
        <v>0</v>
      </c>
      <c r="H70" s="35" t="n">
        <v>6380.02</v>
      </c>
      <c r="I70" s="36" t="n">
        <f aca="false">SUM(B70:H70)</f>
        <v>9047.91</v>
      </c>
    </row>
    <row r="71" customFormat="false" ht="6.75" hidden="false" customHeight="true" outlineLevel="0" collapsed="false">
      <c r="A71" s="7"/>
      <c r="B71" s="10"/>
      <c r="C71" s="10"/>
      <c r="D71" s="10"/>
      <c r="E71" s="10"/>
      <c r="F71" s="10"/>
      <c r="G71" s="10"/>
      <c r="H71" s="10"/>
      <c r="I71" s="11" t="n">
        <f aca="false">SUM(B71:H71)</f>
        <v>0</v>
      </c>
    </row>
    <row r="72" customFormat="false" ht="15" hidden="false" customHeight="false" outlineLevel="0" collapsed="false">
      <c r="A72" s="7" t="s">
        <v>43</v>
      </c>
      <c r="B72" s="8" t="n">
        <v>0</v>
      </c>
      <c r="C72" s="8" t="n">
        <v>4000</v>
      </c>
      <c r="D72" s="8" t="n">
        <f aca="false">0+1000</f>
        <v>1000</v>
      </c>
      <c r="E72" s="8" t="n">
        <v>4000</v>
      </c>
      <c r="F72" s="8" t="n">
        <v>86750</v>
      </c>
      <c r="G72" s="8" t="n">
        <v>0</v>
      </c>
      <c r="H72" s="8" t="n">
        <v>0</v>
      </c>
      <c r="I72" s="9" t="n">
        <f aca="false">SUM(B72:H72)</f>
        <v>95750</v>
      </c>
    </row>
    <row r="73" customFormat="false" ht="8.25" hidden="false" customHeight="true" outlineLevel="0" collapsed="false">
      <c r="A73" s="7"/>
      <c r="B73" s="10"/>
      <c r="C73" s="10"/>
      <c r="D73" s="10"/>
      <c r="E73" s="10"/>
      <c r="F73" s="10"/>
      <c r="G73" s="10"/>
      <c r="H73" s="10"/>
      <c r="I73" s="11" t="n">
        <f aca="false">SUM(B73:H73)</f>
        <v>0</v>
      </c>
    </row>
    <row r="74" customFormat="false" ht="15" hidden="false" customHeight="false" outlineLevel="0" collapsed="false">
      <c r="A74" s="7" t="s">
        <v>44</v>
      </c>
      <c r="B74" s="8" t="n">
        <f aca="false">3500-3000</f>
        <v>500</v>
      </c>
      <c r="C74" s="8" t="n">
        <f aca="false">11000+4000</f>
        <v>15000</v>
      </c>
      <c r="D74" s="8" t="n">
        <v>14500</v>
      </c>
      <c r="E74" s="8" t="n">
        <f aca="false">3000+4000</f>
        <v>7000</v>
      </c>
      <c r="F74" s="8" t="n">
        <v>288391.14</v>
      </c>
      <c r="G74" s="8" t="n">
        <v>0</v>
      </c>
      <c r="H74" s="8" t="n">
        <f aca="false">11000-150-4000-4000-2000</f>
        <v>850</v>
      </c>
      <c r="I74" s="9" t="n">
        <f aca="false">SUM(B74:H74)</f>
        <v>326241.14</v>
      </c>
    </row>
    <row r="75" customFormat="false" ht="15" hidden="false" customHeight="false" outlineLevel="0" collapsed="false">
      <c r="A75" s="7" t="s">
        <v>35</v>
      </c>
      <c r="B75" s="35" t="n">
        <v>0</v>
      </c>
      <c r="C75" s="35" t="n">
        <v>0</v>
      </c>
      <c r="D75" s="35" t="n">
        <v>2667.89</v>
      </c>
      <c r="E75" s="35" t="n">
        <v>0</v>
      </c>
      <c r="F75" s="35" t="n">
        <v>71608.86</v>
      </c>
      <c r="G75" s="35" t="n">
        <f aca="false">5970.77-5000</f>
        <v>970.77</v>
      </c>
      <c r="H75" s="35" t="n">
        <v>6894.89</v>
      </c>
      <c r="I75" s="36" t="n">
        <f aca="false">SUM(B75:H75)</f>
        <v>82142.41</v>
      </c>
    </row>
    <row r="76" customFormat="false" ht="7.5" hidden="false" customHeight="true" outlineLevel="0" collapsed="false">
      <c r="A76" s="7"/>
      <c r="B76" s="10"/>
      <c r="C76" s="10"/>
      <c r="D76" s="10"/>
      <c r="E76" s="10"/>
      <c r="F76" s="10"/>
      <c r="G76" s="10"/>
      <c r="H76" s="10"/>
      <c r="I76" s="11" t="n">
        <f aca="false">SUM(B76:H76)</f>
        <v>0</v>
      </c>
    </row>
    <row r="77" customFormat="false" ht="15" hidden="false" customHeight="false" outlineLevel="0" collapsed="false">
      <c r="A77" s="7" t="s">
        <v>45</v>
      </c>
      <c r="B77" s="8" t="n">
        <f aca="false">3000+6000+3500</f>
        <v>12500</v>
      </c>
      <c r="C77" s="8" t="n">
        <v>44078</v>
      </c>
      <c r="D77" s="8" t="n">
        <f aca="false">39000+14000</f>
        <v>53000</v>
      </c>
      <c r="E77" s="8" t="n">
        <v>14000</v>
      </c>
      <c r="F77" s="8" t="n">
        <v>590000</v>
      </c>
      <c r="G77" s="8" t="n">
        <v>26000</v>
      </c>
      <c r="H77" s="8" t="n">
        <f aca="false">20000+4000</f>
        <v>24000</v>
      </c>
      <c r="I77" s="9" t="n">
        <f aca="false">SUM(B77:H77)</f>
        <v>763578</v>
      </c>
    </row>
    <row r="78" customFormat="false" ht="15" hidden="false" customHeight="false" outlineLevel="0" collapsed="false">
      <c r="A78" s="7" t="s">
        <v>35</v>
      </c>
      <c r="B78" s="35" t="n">
        <v>3218.02</v>
      </c>
      <c r="C78" s="35" t="n">
        <v>32071.99</v>
      </c>
      <c r="D78" s="35" t="n">
        <v>28757.37</v>
      </c>
      <c r="E78" s="35" t="n">
        <v>29919.49</v>
      </c>
      <c r="F78" s="35" t="n">
        <v>0</v>
      </c>
      <c r="G78" s="35" t="n">
        <v>10753</v>
      </c>
      <c r="H78" s="35" t="n">
        <v>2359.5</v>
      </c>
      <c r="I78" s="36" t="n">
        <f aca="false">SUM(B78:H78)</f>
        <v>107079.37</v>
      </c>
      <c r="J78" s="14"/>
    </row>
    <row r="79" customFormat="false" ht="6.75" hidden="false" customHeight="true" outlineLevel="0" collapsed="false">
      <c r="A79" s="7"/>
      <c r="B79" s="10"/>
      <c r="C79" s="10"/>
      <c r="D79" s="10"/>
      <c r="E79" s="10"/>
      <c r="F79" s="10"/>
      <c r="G79" s="10"/>
      <c r="H79" s="10"/>
      <c r="I79" s="11" t="n">
        <f aca="false">SUM(B79:H79)</f>
        <v>0</v>
      </c>
    </row>
    <row r="80" customFormat="false" ht="15" hidden="false" customHeight="false" outlineLevel="0" collapsed="false">
      <c r="A80" s="7" t="s">
        <v>46</v>
      </c>
      <c r="B80" s="8" t="n">
        <v>1500</v>
      </c>
      <c r="C80" s="8" t="n">
        <f aca="false">600+2000</f>
        <v>2600</v>
      </c>
      <c r="D80" s="8" t="n">
        <f aca="false">4500+1500</f>
        <v>6000</v>
      </c>
      <c r="E80" s="8" t="n">
        <f aca="false">1000+1000</f>
        <v>2000</v>
      </c>
      <c r="F80" s="8" t="n">
        <v>20769.4</v>
      </c>
      <c r="G80" s="8" t="n">
        <f aca="false">0+500</f>
        <v>500</v>
      </c>
      <c r="H80" s="8" t="n">
        <v>5000</v>
      </c>
      <c r="I80" s="9" t="n">
        <f aca="false">SUM(B80:H80)</f>
        <v>38369.4</v>
      </c>
    </row>
    <row r="81" customFormat="false" ht="15" hidden="false" customHeight="false" outlineLevel="0" collapsed="false">
      <c r="A81" s="7" t="s">
        <v>35</v>
      </c>
      <c r="B81" s="35" t="n">
        <v>0</v>
      </c>
      <c r="C81" s="35" t="n">
        <v>0</v>
      </c>
      <c r="D81" s="35" t="n">
        <v>0</v>
      </c>
      <c r="E81" s="35" t="n">
        <v>0</v>
      </c>
      <c r="F81" s="35" t="n">
        <v>17115.3</v>
      </c>
      <c r="G81" s="35" t="n">
        <v>2388.31</v>
      </c>
      <c r="H81" s="35" t="n">
        <v>0</v>
      </c>
      <c r="I81" s="36" t="n">
        <f aca="false">SUM(B81:H81)</f>
        <v>19503.61</v>
      </c>
    </row>
    <row r="82" customFormat="false" ht="15" hidden="false" customHeight="false" outlineLevel="0" collapsed="false">
      <c r="A82" s="18" t="s">
        <v>47</v>
      </c>
      <c r="B82" s="19" t="n">
        <f aca="false">SUM(B65:B81)</f>
        <v>21320.9</v>
      </c>
      <c r="C82" s="19" t="n">
        <f aca="false">SUM(C65:C81)</f>
        <v>276816.23</v>
      </c>
      <c r="D82" s="19" t="n">
        <f aca="false">SUM(D65:D81)</f>
        <v>370797.4</v>
      </c>
      <c r="E82" s="19" t="n">
        <f aca="false">SUM(E65:E81)</f>
        <v>190607.39</v>
      </c>
      <c r="F82" s="19" t="n">
        <f aca="false">SUM(F65:F81)</f>
        <v>3860000</v>
      </c>
      <c r="G82" s="19" t="n">
        <f aca="false">SUM(G65:G81)</f>
        <v>41049.66</v>
      </c>
      <c r="H82" s="19" t="n">
        <f aca="false">SUM(H65:H81)</f>
        <v>54509.57</v>
      </c>
      <c r="I82" s="23" t="n">
        <f aca="false">SUM(B82:H82)</f>
        <v>4815101.15</v>
      </c>
      <c r="J82" s="14"/>
    </row>
    <row r="83" customFormat="false" ht="7.45" hidden="false" customHeight="true" outlineLevel="0" collapsed="false">
      <c r="A83" s="7"/>
      <c r="B83" s="10"/>
      <c r="C83" s="10"/>
      <c r="D83" s="10"/>
      <c r="E83" s="10"/>
      <c r="F83" s="10"/>
      <c r="G83" s="10"/>
      <c r="H83" s="10"/>
      <c r="I83" s="11"/>
    </row>
    <row r="84" customFormat="false" ht="15" hidden="false" customHeight="false" outlineLevel="0" collapsed="false">
      <c r="A84" s="7" t="s">
        <v>48</v>
      </c>
      <c r="B84" s="8" t="n">
        <v>0</v>
      </c>
      <c r="C84" s="8" t="n">
        <v>0</v>
      </c>
      <c r="D84" s="8" t="n">
        <v>0</v>
      </c>
      <c r="E84" s="8" t="n">
        <v>0</v>
      </c>
      <c r="F84" s="8" t="n">
        <v>60000.41</v>
      </c>
      <c r="G84" s="8" t="n">
        <v>0</v>
      </c>
      <c r="H84" s="8" t="n">
        <v>0</v>
      </c>
      <c r="I84" s="8" t="n">
        <f aca="false">SUM(B84:H84)</f>
        <v>60000.41</v>
      </c>
    </row>
    <row r="85" customFormat="false" ht="15" hidden="false" customHeight="false" outlineLevel="0" collapsed="false">
      <c r="A85" s="7" t="s">
        <v>35</v>
      </c>
      <c r="B85" s="35" t="n">
        <v>0</v>
      </c>
      <c r="C85" s="35" t="n">
        <v>0</v>
      </c>
      <c r="D85" s="35" t="n">
        <v>0</v>
      </c>
      <c r="E85" s="35" t="n">
        <v>0</v>
      </c>
      <c r="F85" s="35" t="n">
        <v>125828.59</v>
      </c>
      <c r="G85" s="35" t="n">
        <v>0</v>
      </c>
      <c r="H85" s="35" t="n">
        <v>0</v>
      </c>
      <c r="I85" s="36" t="n">
        <f aca="false">SUM(B85:H85)</f>
        <v>125828.59</v>
      </c>
    </row>
    <row r="86" customFormat="false" ht="21.6" hidden="false" customHeight="true" outlineLevel="0" collapsed="false">
      <c r="A86" s="22" t="s">
        <v>49</v>
      </c>
      <c r="B86" s="10" t="n">
        <v>0</v>
      </c>
      <c r="C86" s="10" t="s">
        <v>50</v>
      </c>
      <c r="D86" s="10" t="n">
        <v>0</v>
      </c>
      <c r="E86" s="10" t="s">
        <v>50</v>
      </c>
      <c r="F86" s="10" t="n">
        <v>0</v>
      </c>
      <c r="G86" s="10" t="s">
        <v>50</v>
      </c>
      <c r="H86" s="10" t="s">
        <v>50</v>
      </c>
      <c r="I86" s="11" t="n">
        <f aca="false">SUM(B86:H86)</f>
        <v>0</v>
      </c>
    </row>
    <row r="87" customFormat="false" ht="17.25" hidden="false" customHeight="true" outlineLevel="0" collapsed="false">
      <c r="A87" s="7" t="s">
        <v>51</v>
      </c>
      <c r="B87" s="8"/>
      <c r="C87" s="8"/>
      <c r="D87" s="8"/>
      <c r="E87" s="8"/>
      <c r="F87" s="8" t="n">
        <v>377772</v>
      </c>
      <c r="G87" s="8"/>
      <c r="H87" s="8"/>
      <c r="I87" s="9" t="n">
        <f aca="false">SUM(B87:H87)</f>
        <v>377772</v>
      </c>
    </row>
    <row r="88" customFormat="false" ht="18.75" hidden="false" customHeight="true" outlineLevel="0" collapsed="false">
      <c r="A88" s="7" t="s">
        <v>52</v>
      </c>
      <c r="B88" s="8" t="n">
        <v>1000</v>
      </c>
      <c r="C88" s="8" t="n">
        <v>3000</v>
      </c>
      <c r="D88" s="8" t="n">
        <f aca="false">12500+14322</f>
        <v>26822</v>
      </c>
      <c r="E88" s="8" t="n">
        <f aca="false">3000+11000+2500</f>
        <v>16500</v>
      </c>
      <c r="F88" s="8" t="n">
        <v>229059.79</v>
      </c>
      <c r="G88" s="8" t="n">
        <v>2000</v>
      </c>
      <c r="H88" s="8" t="n">
        <v>1000</v>
      </c>
      <c r="I88" s="9" t="n">
        <f aca="false">SUM(B88:H88)</f>
        <v>279381.79</v>
      </c>
    </row>
    <row r="89" customFormat="false" ht="17.25" hidden="false" customHeight="true" outlineLevel="0" collapsed="false">
      <c r="A89" s="7" t="s">
        <v>53</v>
      </c>
      <c r="B89" s="39" t="n">
        <v>0</v>
      </c>
      <c r="C89" s="39" t="n">
        <v>0</v>
      </c>
      <c r="D89" s="39" t="n">
        <v>0</v>
      </c>
      <c r="E89" s="39" t="n">
        <v>0</v>
      </c>
      <c r="F89" s="39" t="n">
        <v>110862.36</v>
      </c>
      <c r="G89" s="39" t="n">
        <v>0</v>
      </c>
      <c r="H89" s="39"/>
      <c r="I89" s="40" t="n">
        <f aca="false">SUM(B89:H89)</f>
        <v>110862.36</v>
      </c>
    </row>
    <row r="90" customFormat="false" ht="18.65" hidden="false" customHeight="true" outlineLevel="0" collapsed="false">
      <c r="A90" s="22" t="s">
        <v>54</v>
      </c>
      <c r="B90" s="35"/>
      <c r="C90" s="35"/>
      <c r="D90" s="35"/>
      <c r="E90" s="35" t="n">
        <v>0</v>
      </c>
      <c r="F90" s="35" t="n">
        <v>71077.85</v>
      </c>
      <c r="G90" s="35"/>
      <c r="H90" s="35"/>
      <c r="I90" s="36" t="n">
        <f aca="false">SUM(B90:H90)</f>
        <v>71077.85</v>
      </c>
    </row>
    <row r="91" customFormat="false" ht="24.6" hidden="false" customHeight="true" outlineLevel="0" collapsed="false">
      <c r="A91" s="22" t="s">
        <v>55</v>
      </c>
      <c r="B91" s="10"/>
      <c r="C91" s="10"/>
      <c r="D91" s="10"/>
      <c r="E91" s="10"/>
      <c r="F91" s="10" t="n">
        <v>0</v>
      </c>
      <c r="G91" s="10"/>
      <c r="H91" s="10"/>
      <c r="I91" s="36" t="n">
        <f aca="false">SUM(B91:H91)</f>
        <v>0</v>
      </c>
    </row>
    <row r="92" customFormat="false" ht="15.65" hidden="false" customHeight="true" outlineLevel="0" collapsed="false">
      <c r="A92" s="22" t="s">
        <v>56</v>
      </c>
      <c r="B92" s="10"/>
      <c r="C92" s="10"/>
      <c r="D92" s="10"/>
      <c r="E92" s="10"/>
      <c r="F92" s="10" t="n">
        <v>0</v>
      </c>
      <c r="G92" s="10"/>
      <c r="H92" s="10"/>
      <c r="I92" s="36" t="n">
        <f aca="false">SUM(B92:H92)</f>
        <v>0</v>
      </c>
    </row>
    <row r="93" customFormat="false" ht="15" hidden="false" customHeight="false" outlineLevel="0" collapsed="false">
      <c r="A93" s="18" t="s">
        <v>57</v>
      </c>
      <c r="B93" s="19" t="n">
        <f aca="false">SUM(B84:B90)</f>
        <v>1000</v>
      </c>
      <c r="C93" s="19" t="n">
        <f aca="false">SUM(C84:C90)</f>
        <v>3000</v>
      </c>
      <c r="D93" s="19" t="n">
        <f aca="false">SUM(D84:D90)</f>
        <v>26822</v>
      </c>
      <c r="E93" s="19" t="n">
        <f aca="false">SUM(E84:E90)</f>
        <v>16500</v>
      </c>
      <c r="F93" s="19" t="n">
        <f aca="false">SUM(F84:F92)</f>
        <v>974601</v>
      </c>
      <c r="G93" s="19" t="n">
        <f aca="false">SUM(G84:G90)</f>
        <v>2000</v>
      </c>
      <c r="H93" s="19" t="n">
        <f aca="false">SUM(H84:H90)</f>
        <v>1000</v>
      </c>
      <c r="I93" s="23" t="n">
        <f aca="false">SUM(B93:H93)</f>
        <v>1024923</v>
      </c>
    </row>
    <row r="94" customFormat="false" ht="7.45" hidden="false" customHeight="true" outlineLevel="0" collapsed="false"/>
    <row r="95" s="4" customFormat="true" ht="15" hidden="false" customHeight="false" outlineLevel="0" collapsed="false">
      <c r="A95" s="41" t="s">
        <v>58</v>
      </c>
      <c r="B95" s="42" t="n">
        <f aca="false">B58+B63+B82+B93</f>
        <v>86665.42</v>
      </c>
      <c r="C95" s="42" t="n">
        <f aca="false">C58+C63+C82+C93</f>
        <v>536167.66</v>
      </c>
      <c r="D95" s="42" t="n">
        <f aca="false">D58+D63+D82+D93</f>
        <v>748964.85</v>
      </c>
      <c r="E95" s="42" t="n">
        <f aca="false">E58+E63+E82+E93</f>
        <v>364058.35</v>
      </c>
      <c r="F95" s="42" t="n">
        <f aca="false">F58+F63+F82+F93</f>
        <v>8849335.42</v>
      </c>
      <c r="G95" s="42" t="n">
        <f aca="false">G58+G63+G82+G93</f>
        <v>222876.17</v>
      </c>
      <c r="H95" s="42" t="n">
        <f aca="false">H58+H63+H82+H93</f>
        <v>150917.36</v>
      </c>
      <c r="I95" s="42" t="n">
        <f aca="false">I58+I63+I82+I93</f>
        <v>10958985.23</v>
      </c>
      <c r="J95" s="6"/>
    </row>
    <row r="96" s="4" customFormat="true" ht="6.75" hidden="false" customHeight="true" outlineLevel="0" collapsed="false">
      <c r="A96" s="43"/>
      <c r="B96" s="44"/>
      <c r="C96" s="44"/>
      <c r="D96" s="44"/>
      <c r="E96" s="44"/>
      <c r="F96" s="44"/>
      <c r="G96" s="44"/>
      <c r="H96" s="44"/>
      <c r="I96" s="44"/>
      <c r="J96" s="6"/>
    </row>
    <row r="97" s="49" customFormat="true" ht="15.75" hidden="false" customHeight="false" outlineLevel="0" collapsed="false">
      <c r="A97" s="45" t="s">
        <v>59</v>
      </c>
      <c r="B97" s="46" t="n">
        <f aca="false">B44+B95</f>
        <v>208771.68</v>
      </c>
      <c r="C97" s="46" t="n">
        <f aca="false">C44+C95</f>
        <v>995991.12</v>
      </c>
      <c r="D97" s="46" t="n">
        <f aca="false">D44+D95</f>
        <v>1342915.13</v>
      </c>
      <c r="E97" s="46" t="n">
        <f aca="false">E44+E95</f>
        <v>693585.73</v>
      </c>
      <c r="F97" s="46" t="n">
        <f aca="false">F44+F95</f>
        <v>15387680.96</v>
      </c>
      <c r="G97" s="46" t="n">
        <f aca="false">G44+G95</f>
        <v>635079.97</v>
      </c>
      <c r="H97" s="46" t="n">
        <f aca="false">H44+H95</f>
        <v>336736.18</v>
      </c>
      <c r="I97" s="47" t="n">
        <f aca="false">I44+I95</f>
        <v>19620760.77</v>
      </c>
      <c r="J97" s="48"/>
    </row>
    <row r="98" customFormat="false" ht="7.45" hidden="false" customHeight="true" outlineLevel="0" collapsed="false">
      <c r="A98" s="50"/>
      <c r="B98" s="51"/>
      <c r="C98" s="51"/>
      <c r="D98" s="51"/>
      <c r="E98" s="51"/>
      <c r="F98" s="51"/>
      <c r="G98" s="51"/>
      <c r="H98" s="51"/>
      <c r="I98" s="52"/>
    </row>
    <row r="99" s="4" customFormat="true" ht="15" hidden="false" customHeight="false" outlineLevel="0" collapsed="false">
      <c r="A99" s="53" t="s">
        <v>60</v>
      </c>
      <c r="B99" s="54" t="n">
        <f aca="false">B3+B5+B8+B14+B18+B21+B23+B25+B28+B30+B34</f>
        <v>101000</v>
      </c>
      <c r="C99" s="54" t="n">
        <f aca="false">C3+C5+C8+C14+C18+C21+C23+C25+C28+C30+C34</f>
        <v>368500</v>
      </c>
      <c r="D99" s="54" t="n">
        <f aca="false">D3+D5+D8+D14+D18+D21+D23+D25+D28+D30+D34</f>
        <v>497700</v>
      </c>
      <c r="E99" s="54" t="n">
        <f aca="false">E3+E5+E8+E14+E18+E21+E23+E25+E28+E30+E34</f>
        <v>274000</v>
      </c>
      <c r="F99" s="54" t="n">
        <f aca="false">F3+F5+F8+F14+F18+F21+F23+F25+F28+F30+F34</f>
        <v>5373000</v>
      </c>
      <c r="G99" s="54" t="n">
        <f aca="false">G3+G5+G8+G14+G18+G21+G23+G25+G28+G30+G34</f>
        <v>372000</v>
      </c>
      <c r="H99" s="54" t="n">
        <f aca="false">H3+H5+H8+H14+H18+H21+H23+H25+H28+H30+H34</f>
        <v>151000</v>
      </c>
      <c r="I99" s="54" t="n">
        <f aca="false">I3+I5+I8+I14+I18+I21+I23+I25+I28+I30+I34</f>
        <v>7137200</v>
      </c>
      <c r="J99" s="6"/>
    </row>
    <row r="100" customFormat="false" ht="15" hidden="false" customHeight="false" outlineLevel="0" collapsed="false">
      <c r="A100" s="55" t="s">
        <v>61</v>
      </c>
      <c r="B100" s="56" t="n">
        <f aca="false">B48+B52+B60+B65+B69+B72+B74+B77+B80+B84+B88</f>
        <v>51500</v>
      </c>
      <c r="C100" s="56" t="n">
        <f aca="false">C48+C52+C60+C65+C69+C72+C74+C77+C80+C84+C88</f>
        <v>371500</v>
      </c>
      <c r="D100" s="56" t="n">
        <f aca="false">D48+D52+D60+D65+D69+D72+D74+D77+D80+D84+D88</f>
        <v>573900</v>
      </c>
      <c r="E100" s="56" t="n">
        <f aca="false">E48+E52+E60+E65+E69+E72+E74+E77+E80+E84+E88</f>
        <v>200000</v>
      </c>
      <c r="F100" s="56" t="n">
        <f aca="false">F48+F52+F60+F65+F69+F72+F74+F77+F80+F84+F87+F88</f>
        <v>5845456.28</v>
      </c>
      <c r="G100" s="56" t="n">
        <f aca="false">G48+G52+G60+G65+G69+G72+G74+G77+G80+G84+G88</f>
        <v>83000</v>
      </c>
      <c r="H100" s="56" t="n">
        <f aca="false">H48+H52+H60+H65+H69+H72+H74+H77+H80+H84+H88</f>
        <v>101000</v>
      </c>
      <c r="I100" s="56" t="n">
        <f aca="false">I48+I52+I60+I65+I69+I72+I74+I77+I80+I84+I87+I88</f>
        <v>7226356.28</v>
      </c>
    </row>
    <row r="102" s="4" customFormat="true" ht="15" hidden="false" customHeight="false" outlineLevel="0" collapsed="false">
      <c r="B102" s="57"/>
      <c r="C102" s="57"/>
      <c r="D102" s="57"/>
      <c r="E102" s="57"/>
      <c r="F102" s="57"/>
      <c r="G102" s="57"/>
      <c r="H102" s="57"/>
      <c r="I102" s="6"/>
      <c r="J102" s="6"/>
    </row>
  </sheetData>
  <mergeCells count="2">
    <mergeCell ref="A1:I1"/>
    <mergeCell ref="A45:I45"/>
  </mergeCells>
  <printOptions headings="false" gridLines="true" gridLinesSet="true" horizontalCentered="false" verticalCentered="false"/>
  <pageMargins left="0.708333333333333" right="0.708333333333333" top="0.747916666666667" bottom="0.748611111111111" header="0.511805555555555" footer="0.315277777777778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&amp;C&amp;Z&amp;F&amp;A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0" activeCellId="0" sqref="G30"/>
    </sheetView>
  </sheetViews>
  <sheetFormatPr defaultColWidth="8.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475</TotalTime>
  <Application>LibreOffice/7.1.0.3$Windows_X86_64 LibreOffice_project/f6099ecf3d29644b5008cc8f48f42f4a40986e4c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2015-12-02T16:12:09Z</dcterms:created>
  <dc:creator>Alessandra</dc:creator>
  <dc:description/>
  <dc:language>it-IT</dc:language>
  <cp:lastModifiedBy/>
  <cp:lastPrinted>2021-09-27T15:07:45Z</cp:lastPrinted>
  <dcterms:modified xsi:type="dcterms:W3CDTF">2021-10-01T14:17:57Z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